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ionmi\Dropbox\0teaching\OU\Investments\LECTURES\lecture_24_review\section1\"/>
    </mc:Choice>
  </mc:AlternateContent>
  <xr:revisionPtr revIDLastSave="0" documentId="13_ncr:1_{2C849F48-6700-4DD5-8F95-F32F95FD0775}" xr6:coauthVersionLast="47" xr6:coauthVersionMax="47" xr10:uidLastSave="{00000000-0000-0000-0000-000000000000}"/>
  <bookViews>
    <workbookView xWindow="-96" yWindow="-96" windowWidth="23232" windowHeight="13872" activeTab="1" xr2:uid="{00000000-000D-0000-FFFF-FFFF00000000}"/>
  </bookViews>
  <sheets>
    <sheet name="Valuation" sheetId="1" r:id="rId1"/>
    <sheet name="Op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2" l="1"/>
  <c r="B15" i="2" s="1"/>
  <c r="E24" i="2"/>
  <c r="E23" i="2"/>
  <c r="H20" i="2"/>
  <c r="H19" i="2"/>
  <c r="H18" i="2"/>
  <c r="H17" i="2"/>
  <c r="H16" i="2"/>
  <c r="G20" i="2"/>
  <c r="G19" i="2"/>
  <c r="G18" i="2"/>
  <c r="G17" i="2"/>
  <c r="G16" i="2"/>
  <c r="F20" i="2"/>
  <c r="F19" i="2"/>
  <c r="F18" i="2"/>
  <c r="F17" i="2"/>
  <c r="F16" i="2"/>
  <c r="E17" i="2"/>
  <c r="E18" i="2"/>
  <c r="E19" i="2"/>
  <c r="E20" i="2"/>
  <c r="E16" i="2"/>
  <c r="E11" i="2"/>
  <c r="F8" i="2"/>
  <c r="F7" i="2"/>
  <c r="F6" i="2"/>
  <c r="F5" i="2"/>
  <c r="F4" i="2"/>
  <c r="E8" i="2"/>
  <c r="E7" i="2"/>
  <c r="E6" i="2"/>
  <c r="E5" i="2"/>
  <c r="E4" i="2"/>
  <c r="B6" i="2"/>
  <c r="G31" i="1"/>
  <c r="G30" i="1"/>
  <c r="G29" i="1"/>
  <c r="G28" i="1"/>
  <c r="G27" i="1"/>
  <c r="L26" i="1"/>
  <c r="K26" i="1"/>
  <c r="J26" i="1"/>
  <c r="I26" i="1"/>
  <c r="H26" i="1"/>
  <c r="I25" i="1"/>
  <c r="J25" i="1" s="1"/>
  <c r="K25" i="1" s="1"/>
  <c r="L25" i="1" s="1"/>
  <c r="H25" i="1"/>
  <c r="I24" i="1"/>
  <c r="J24" i="1" s="1"/>
  <c r="K24" i="1" s="1"/>
  <c r="L24" i="1" s="1"/>
  <c r="H24" i="1"/>
  <c r="G24" i="1"/>
  <c r="G21" i="1"/>
  <c r="G20" i="1"/>
  <c r="G17" i="1"/>
  <c r="G16" i="1"/>
  <c r="G15" i="1"/>
  <c r="L14" i="1"/>
  <c r="K14" i="1"/>
  <c r="J14" i="1"/>
  <c r="I14" i="1"/>
  <c r="H14" i="1"/>
  <c r="I13" i="1"/>
  <c r="J13" i="1" s="1"/>
  <c r="K13" i="1" s="1"/>
  <c r="L13" i="1" s="1"/>
  <c r="H13" i="1"/>
  <c r="I12" i="1"/>
  <c r="J12" i="1" s="1"/>
  <c r="K12" i="1" s="1"/>
  <c r="L12" i="1" s="1"/>
  <c r="H12" i="1"/>
  <c r="G12" i="1"/>
  <c r="G9" i="1"/>
  <c r="I6" i="1"/>
  <c r="H6" i="1"/>
  <c r="G6" i="1"/>
  <c r="I5" i="1"/>
  <c r="H5" i="1"/>
  <c r="G5" i="1"/>
  <c r="H20" i="1"/>
  <c r="H17" i="1"/>
  <c r="H16" i="1"/>
  <c r="H15" i="1"/>
  <c r="H27" i="1"/>
  <c r="H30" i="1"/>
  <c r="H29" i="1"/>
  <c r="H28" i="1"/>
  <c r="F24" i="2"/>
  <c r="F23" i="2"/>
  <c r="H31" i="1"/>
  <c r="H21" i="1"/>
  <c r="B14" i="2" l="1"/>
  <c r="B16" i="2" s="1"/>
  <c r="B17" i="2" s="1"/>
</calcChain>
</file>

<file path=xl/sharedStrings.xml><?xml version="1.0" encoding="utf-8"?>
<sst xmlns="http://schemas.openxmlformats.org/spreadsheetml/2006/main" count="92" uniqueCount="84">
  <si>
    <t>Problem 1: Valuation</t>
  </si>
  <si>
    <t>Inputs: accounting data</t>
  </si>
  <si>
    <t>Item</t>
  </si>
  <si>
    <t>Value</t>
  </si>
  <si>
    <t>EBITDA</t>
  </si>
  <si>
    <t>Depreciation &amp; Amortization</t>
  </si>
  <si>
    <t>EBIT</t>
  </si>
  <si>
    <t>Interest expense</t>
  </si>
  <si>
    <t>Corporate tax rate</t>
  </si>
  <si>
    <t>Net income</t>
  </si>
  <si>
    <t>Capital expenditures (CapEx)</t>
  </si>
  <si>
    <t>Increase in net working capital (NWC)</t>
  </si>
  <si>
    <t>Long-term debt (end of FY 2025)</t>
  </si>
  <si>
    <t>Long-term debt (end of FY 2024)</t>
  </si>
  <si>
    <t>Cash and cash equivalents</t>
  </si>
  <si>
    <t>Book value of equity</t>
  </si>
  <si>
    <t>Shares outstanding</t>
  </si>
  <si>
    <t>Annual dividend per share (just paid)</t>
  </si>
  <si>
    <t>Inputs: comps</t>
  </si>
  <si>
    <t>Comparable</t>
  </si>
  <si>
    <t>Trailing P/E</t>
  </si>
  <si>
    <t>P/B</t>
  </si>
  <si>
    <t>EV/EBITDA</t>
  </si>
  <si>
    <t>Comp A</t>
  </si>
  <si>
    <t>Comp B</t>
  </si>
  <si>
    <t>Comp C</t>
  </si>
  <si>
    <t>Inputs: market data</t>
  </si>
  <si>
    <t>Parameter</t>
  </si>
  <si>
    <t>ARI’s equity beta</t>
  </si>
  <si>
    <t>Risk-free rate</t>
  </si>
  <si>
    <t>Market risk premium</t>
  </si>
  <si>
    <t>ARI’s pre-tax cost of debt</t>
  </si>
  <si>
    <t>Inputs: growth assumptions</t>
  </si>
  <si>
    <t>Initial growth rate (g1) for yrs 1-5</t>
  </si>
  <si>
    <t>Perpetual growth rate after year 5 (g)</t>
  </si>
  <si>
    <t>Outputs</t>
  </si>
  <si>
    <t>Question 1: Multiples valuation</t>
  </si>
  <si>
    <t>Average multiple</t>
  </si>
  <si>
    <t>Valuation</t>
  </si>
  <si>
    <t>Question 2: Dividend discount model</t>
  </si>
  <si>
    <t>Cost of equity (CAPM)</t>
  </si>
  <si>
    <t>Dividend</t>
  </si>
  <si>
    <t>Discount rate</t>
  </si>
  <si>
    <t>Discounted dividends</t>
  </si>
  <si>
    <t>Terminal value</t>
  </si>
  <si>
    <t>Discounted terminal value</t>
  </si>
  <si>
    <t>Intrinsic value per share</t>
  </si>
  <si>
    <t>Leverage</t>
  </si>
  <si>
    <t xml:space="preserve">Current stock price </t>
  </si>
  <si>
    <t>WACC</t>
  </si>
  <si>
    <t>FCFF</t>
  </si>
  <si>
    <t>Discont factor</t>
  </si>
  <si>
    <t>Discounted FCFF</t>
  </si>
  <si>
    <t>Total firm value</t>
  </si>
  <si>
    <t>Total equity value</t>
  </si>
  <si>
    <t>Question 3: DCF-FCFF valuation</t>
  </si>
  <si>
    <t>Problem 2: Call options</t>
  </si>
  <si>
    <t>Inputs</t>
  </si>
  <si>
    <t>Stock price (S)</t>
  </si>
  <si>
    <t>Strike price (X)</t>
  </si>
  <si>
    <t>Time to expiration (T)</t>
  </si>
  <si>
    <t>Rf</t>
  </si>
  <si>
    <t>Volatility (sigma)</t>
  </si>
  <si>
    <t>Call premium (C )</t>
  </si>
  <si>
    <t>Question 1: Long call payoffs and profits</t>
  </si>
  <si>
    <t>S_T</t>
  </si>
  <si>
    <t>Payoff</t>
  </si>
  <si>
    <t>Profit</t>
  </si>
  <si>
    <t>Question 2: Break even price for the long call</t>
  </si>
  <si>
    <t>X + C</t>
  </si>
  <si>
    <t>Question 3: Profits from covered call</t>
  </si>
  <si>
    <t>Payoff from stock</t>
  </si>
  <si>
    <t>Payoff from short call</t>
  </si>
  <si>
    <t>Total payoff</t>
  </si>
  <si>
    <t xml:space="preserve">Total profit </t>
  </si>
  <si>
    <t>Question 4: Covered call break even and max profit</t>
  </si>
  <si>
    <t>Break even (S0-C)</t>
  </si>
  <si>
    <t>Max profits (X - S0 + C)</t>
  </si>
  <si>
    <t>Question 5: Black-Scholes pricing</t>
  </si>
  <si>
    <t>d1</t>
  </si>
  <si>
    <t>d2</t>
  </si>
  <si>
    <t>N(d1)</t>
  </si>
  <si>
    <t>N(d2)</t>
  </si>
  <si>
    <t>Call price (using BS)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</si>
</sst>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0.00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6" fontId="0" fillId="0" borderId="0" xfId="0" applyNumberFormat="1"/>
    <xf numFmtId="8" fontId="0" fillId="0" borderId="0" xfId="0" applyNumberFormat="1"/>
    <xf numFmtId="0" fontId="0" fillId="2" borderId="0" xfId="0" applyFill="1"/>
    <xf numFmtId="0" fontId="1" fillId="2" borderId="0" xfId="0" applyFont="1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6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 applyAlignment="1">
      <alignment horizontal="center"/>
    </xf>
    <xf numFmtId="0" fontId="1" fillId="0" borderId="0" xfId="0" applyFont="1"/>
    <xf numFmtId="6" fontId="1" fillId="0" borderId="0" xfId="0" applyNumberFormat="1" applyFont="1"/>
    <xf numFmtId="164" fontId="0" fillId="0" borderId="0" xfId="0" applyNumberFormat="1"/>
    <xf numFmtId="8" fontId="1" fillId="0" borderId="0" xfId="0" applyNumberFormat="1" applyFont="1"/>
    <xf numFmtId="0" fontId="0" fillId="0" borderId="0" xfId="0" applyAlignment="1">
      <alignment horizontal="left"/>
    </xf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topLeftCell="A5" zoomScaleNormal="100" workbookViewId="0">
      <selection activeCell="D9" sqref="D9"/>
    </sheetView>
  </sheetViews>
  <sheetFormatPr defaultRowHeight="14.4" x14ac:dyDescent="0.55000000000000004"/>
  <cols>
    <col min="1" max="1" width="35.9453125" customWidth="1"/>
    <col min="2" max="4" width="8.83984375" style="6"/>
    <col min="6" max="6" width="24.9453125" customWidth="1"/>
    <col min="7" max="9" width="11.05078125" customWidth="1"/>
  </cols>
  <sheetData>
    <row r="1" spans="1:12" x14ac:dyDescent="0.55000000000000004">
      <c r="A1" s="3" t="s">
        <v>0</v>
      </c>
      <c r="B1" s="5"/>
      <c r="C1" s="5"/>
      <c r="D1" s="5"/>
      <c r="F1" s="17" t="s">
        <v>35</v>
      </c>
      <c r="G1" s="17"/>
      <c r="H1" s="17"/>
      <c r="I1" s="17"/>
      <c r="J1" s="17"/>
      <c r="K1" s="17"/>
      <c r="L1" s="17"/>
    </row>
    <row r="3" spans="1:12" x14ac:dyDescent="0.55000000000000004">
      <c r="A3" s="3" t="s">
        <v>1</v>
      </c>
      <c r="B3" s="5"/>
      <c r="C3" s="5"/>
      <c r="D3" s="5"/>
      <c r="F3" s="17" t="s">
        <v>36</v>
      </c>
      <c r="G3" s="17"/>
      <c r="H3" s="17"/>
      <c r="I3" s="17"/>
      <c r="J3" s="17"/>
      <c r="K3" s="17"/>
      <c r="L3" s="17"/>
    </row>
    <row r="4" spans="1:12" x14ac:dyDescent="0.55000000000000004">
      <c r="A4" t="s">
        <v>2</v>
      </c>
      <c r="B4" s="6" t="s">
        <v>3</v>
      </c>
      <c r="G4" s="6" t="s">
        <v>20</v>
      </c>
      <c r="H4" s="6" t="s">
        <v>21</v>
      </c>
      <c r="I4" s="6" t="s">
        <v>22</v>
      </c>
    </row>
    <row r="5" spans="1:12" x14ac:dyDescent="0.55000000000000004">
      <c r="A5" t="s">
        <v>4</v>
      </c>
      <c r="B5" s="7">
        <v>25</v>
      </c>
      <c r="F5" t="s">
        <v>37</v>
      </c>
      <c r="G5">
        <f>AVERAGE(B22:B24)</f>
        <v>22</v>
      </c>
      <c r="H5">
        <f t="shared" ref="H5:I5" si="0">AVERAGE(C22:C24)</f>
        <v>5</v>
      </c>
      <c r="I5">
        <f t="shared" si="0"/>
        <v>16</v>
      </c>
    </row>
    <row r="6" spans="1:12" x14ac:dyDescent="0.55000000000000004">
      <c r="A6" t="s">
        <v>5</v>
      </c>
      <c r="B6" s="7">
        <v>5</v>
      </c>
      <c r="F6" s="12" t="s">
        <v>38</v>
      </c>
      <c r="G6" s="13">
        <f>G5 * B10 / B17</f>
        <v>132</v>
      </c>
      <c r="H6" s="13">
        <f>H5 * B16 / B17</f>
        <v>150</v>
      </c>
      <c r="I6" s="13">
        <f>(I5*B5 + B15 - B13) / B17</f>
        <v>180</v>
      </c>
    </row>
    <row r="7" spans="1:12" x14ac:dyDescent="0.55000000000000004">
      <c r="A7" t="s">
        <v>6</v>
      </c>
      <c r="B7" s="7">
        <v>20</v>
      </c>
    </row>
    <row r="8" spans="1:12" x14ac:dyDescent="0.55000000000000004">
      <c r="A8" t="s">
        <v>7</v>
      </c>
      <c r="B8" s="7">
        <v>4</v>
      </c>
      <c r="F8" s="17" t="s">
        <v>39</v>
      </c>
      <c r="G8" s="17"/>
      <c r="H8" s="17"/>
      <c r="I8" s="17"/>
      <c r="J8" s="17"/>
      <c r="K8" s="17"/>
      <c r="L8" s="17"/>
    </row>
    <row r="9" spans="1:12" x14ac:dyDescent="0.55000000000000004">
      <c r="A9" t="s">
        <v>8</v>
      </c>
      <c r="B9" s="8">
        <v>0.25</v>
      </c>
      <c r="F9" t="s">
        <v>40</v>
      </c>
      <c r="G9" s="14">
        <f>B29+B28*B30</f>
        <v>0.11199999999999999</v>
      </c>
    </row>
    <row r="10" spans="1:12" x14ac:dyDescent="0.55000000000000004">
      <c r="A10" t="s">
        <v>9</v>
      </c>
      <c r="B10" s="7">
        <v>12</v>
      </c>
    </row>
    <row r="11" spans="1:12" x14ac:dyDescent="0.55000000000000004">
      <c r="A11" t="s">
        <v>10</v>
      </c>
      <c r="B11" s="7">
        <v>10</v>
      </c>
      <c r="G11">
        <v>0</v>
      </c>
      <c r="H11">
        <v>1</v>
      </c>
      <c r="I11">
        <v>2</v>
      </c>
      <c r="J11">
        <v>3</v>
      </c>
      <c r="K11">
        <v>4</v>
      </c>
      <c r="L11">
        <v>5</v>
      </c>
    </row>
    <row r="12" spans="1:12" x14ac:dyDescent="0.55000000000000004">
      <c r="A12" t="s">
        <v>11</v>
      </c>
      <c r="B12" s="7">
        <v>2</v>
      </c>
      <c r="F12" t="s">
        <v>41</v>
      </c>
      <c r="G12" s="2">
        <f>B18</f>
        <v>2.4</v>
      </c>
      <c r="H12" s="2">
        <f>G12 * (1+$B$34)</f>
        <v>2.6880000000000002</v>
      </c>
      <c r="I12" s="2">
        <f t="shared" ref="I12:L12" si="1">H12 * (1+$B$34)</f>
        <v>3.0105600000000003</v>
      </c>
      <c r="J12" s="2">
        <f t="shared" si="1"/>
        <v>3.3718272000000007</v>
      </c>
      <c r="K12" s="2">
        <f t="shared" si="1"/>
        <v>3.7764464640000011</v>
      </c>
      <c r="L12" s="2">
        <f t="shared" si="1"/>
        <v>4.2296200396800012</v>
      </c>
    </row>
    <row r="13" spans="1:12" x14ac:dyDescent="0.55000000000000004">
      <c r="A13" t="s">
        <v>12</v>
      </c>
      <c r="B13" s="7">
        <v>50</v>
      </c>
      <c r="F13" t="s">
        <v>42</v>
      </c>
      <c r="G13">
        <v>1</v>
      </c>
      <c r="H13">
        <f>G13*(1+$G$9)</f>
        <v>1.1120000000000001</v>
      </c>
      <c r="I13">
        <f t="shared" ref="I13:L13" si="2">H13*(1+$G$9)</f>
        <v>1.2365440000000003</v>
      </c>
      <c r="J13">
        <f t="shared" si="2"/>
        <v>1.3750369280000005</v>
      </c>
      <c r="K13">
        <f t="shared" si="2"/>
        <v>1.5290410639360008</v>
      </c>
      <c r="L13">
        <f t="shared" si="2"/>
        <v>1.7002936630968331</v>
      </c>
    </row>
    <row r="14" spans="1:12" x14ac:dyDescent="0.55000000000000004">
      <c r="A14" t="s">
        <v>13</v>
      </c>
      <c r="B14" s="7">
        <v>40</v>
      </c>
      <c r="F14" t="s">
        <v>43</v>
      </c>
      <c r="H14" s="2">
        <f>H12 / H13</f>
        <v>2.4172661870503598</v>
      </c>
      <c r="I14" s="2">
        <f t="shared" ref="I14:L14" si="3">I12 / I13</f>
        <v>2.4346565912737432</v>
      </c>
      <c r="J14" s="2">
        <f t="shared" si="3"/>
        <v>2.4521721063188782</v>
      </c>
      <c r="K14" s="2">
        <f t="shared" si="3"/>
        <v>2.4698136322636182</v>
      </c>
      <c r="L14" s="2">
        <f t="shared" si="3"/>
        <v>2.4875820756611979</v>
      </c>
    </row>
    <row r="15" spans="1:12" x14ac:dyDescent="0.55000000000000004">
      <c r="A15" t="s">
        <v>14</v>
      </c>
      <c r="B15" s="7">
        <v>10</v>
      </c>
      <c r="F15" t="s">
        <v>44</v>
      </c>
      <c r="G15" s="2">
        <f>L12 * (1+B35) / (G9-B35)</f>
        <v>61.094511684266706</v>
      </c>
      <c r="H15" t="str">
        <f ca="1">_xlfn.FORMULATEXT(G15)</f>
        <v>=L12 * (1+B35) / (G9-B35)</v>
      </c>
    </row>
    <row r="16" spans="1:12" x14ac:dyDescent="0.55000000000000004">
      <c r="A16" t="s">
        <v>15</v>
      </c>
      <c r="B16" s="7">
        <v>60</v>
      </c>
      <c r="F16" t="s">
        <v>45</v>
      </c>
      <c r="G16" s="2">
        <f>G15 / L13</f>
        <v>35.931741092883982</v>
      </c>
      <c r="H16" t="str">
        <f t="shared" ref="H16:H17" ca="1" si="4">_xlfn.FORMULATEXT(G16)</f>
        <v>=G15 / L13</v>
      </c>
    </row>
    <row r="17" spans="1:12" x14ac:dyDescent="0.55000000000000004">
      <c r="A17" t="s">
        <v>16</v>
      </c>
      <c r="B17" s="6">
        <v>2</v>
      </c>
      <c r="F17" s="12" t="s">
        <v>46</v>
      </c>
      <c r="G17" s="15">
        <f>SUM(H14:L14) + G16</f>
        <v>48.193231685451778</v>
      </c>
      <c r="H17" t="str">
        <f t="shared" ca="1" si="4"/>
        <v>=SUM(H14:L14) + G16</v>
      </c>
    </row>
    <row r="18" spans="1:12" x14ac:dyDescent="0.55000000000000004">
      <c r="A18" t="s">
        <v>17</v>
      </c>
      <c r="B18" s="9">
        <v>2.4</v>
      </c>
    </row>
    <row r="19" spans="1:12" x14ac:dyDescent="0.55000000000000004">
      <c r="A19" t="s">
        <v>48</v>
      </c>
      <c r="B19" s="6">
        <v>90</v>
      </c>
      <c r="F19" s="17" t="s">
        <v>55</v>
      </c>
      <c r="G19" s="17"/>
      <c r="H19" s="17"/>
      <c r="I19" s="17"/>
      <c r="J19" s="17"/>
      <c r="K19" s="17"/>
      <c r="L19" s="17"/>
    </row>
    <row r="20" spans="1:12" x14ac:dyDescent="0.55000000000000004">
      <c r="A20" s="4" t="s">
        <v>18</v>
      </c>
      <c r="B20" s="10"/>
      <c r="C20" s="10"/>
      <c r="D20" s="10"/>
      <c r="F20" t="s">
        <v>47</v>
      </c>
      <c r="G20">
        <f>B13 / (B13 + B19*B17)</f>
        <v>0.21739130434782608</v>
      </c>
      <c r="H20" t="str">
        <f ca="1">_xlfn.FORMULATEXT(G20)</f>
        <v>=B13 / (B13 + B19*B17)</v>
      </c>
    </row>
    <row r="21" spans="1:12" x14ac:dyDescent="0.55000000000000004">
      <c r="A21" t="s">
        <v>19</v>
      </c>
      <c r="B21" s="6" t="s">
        <v>20</v>
      </c>
      <c r="C21" s="6" t="s">
        <v>21</v>
      </c>
      <c r="D21" s="6" t="s">
        <v>22</v>
      </c>
      <c r="F21" s="16" t="s">
        <v>49</v>
      </c>
      <c r="G21">
        <f>G20 * B31 * (1 - B9) + (1-G20)*G9</f>
        <v>9.5804347826086947E-2</v>
      </c>
      <c r="H21" t="str">
        <f ca="1">_xlfn.FORMULATEXT(G21)</f>
        <v>=G20 * B31 * (1 - B9) + (1-G20)*G9</v>
      </c>
    </row>
    <row r="22" spans="1:12" x14ac:dyDescent="0.55000000000000004">
      <c r="A22" t="s">
        <v>23</v>
      </c>
      <c r="B22" s="6">
        <v>18</v>
      </c>
      <c r="C22" s="6">
        <v>4</v>
      </c>
      <c r="D22" s="6">
        <v>14</v>
      </c>
    </row>
    <row r="23" spans="1:12" x14ac:dyDescent="0.55000000000000004">
      <c r="A23" t="s">
        <v>24</v>
      </c>
      <c r="B23" s="6">
        <v>22</v>
      </c>
      <c r="C23" s="6">
        <v>5</v>
      </c>
      <c r="D23" s="6">
        <v>16</v>
      </c>
      <c r="G23" s="6">
        <v>0</v>
      </c>
      <c r="H23" s="6">
        <v>1</v>
      </c>
      <c r="I23" s="6">
        <v>2</v>
      </c>
      <c r="J23" s="6">
        <v>3</v>
      </c>
      <c r="K23" s="6">
        <v>4</v>
      </c>
      <c r="L23" s="6">
        <v>5</v>
      </c>
    </row>
    <row r="24" spans="1:12" x14ac:dyDescent="0.55000000000000004">
      <c r="A24" t="s">
        <v>25</v>
      </c>
      <c r="B24" s="6">
        <v>26</v>
      </c>
      <c r="C24" s="6">
        <v>6</v>
      </c>
      <c r="D24" s="6">
        <v>18</v>
      </c>
      <c r="F24" t="s">
        <v>50</v>
      </c>
      <c r="G24" s="1">
        <f>B7*(1-B9) + B6 - B11 - B12</f>
        <v>8</v>
      </c>
      <c r="H24" s="2">
        <f>G24*(1+$B$34)</f>
        <v>8.9600000000000009</v>
      </c>
      <c r="I24" s="2">
        <f t="shared" ref="I24:L24" si="5">H24*(1+$B$34)</f>
        <v>10.035200000000001</v>
      </c>
      <c r="J24" s="2">
        <f t="shared" si="5"/>
        <v>11.239424000000003</v>
      </c>
      <c r="K24" s="2">
        <f t="shared" si="5"/>
        <v>12.588154880000005</v>
      </c>
      <c r="L24" s="2">
        <f t="shared" si="5"/>
        <v>14.098733465600006</v>
      </c>
    </row>
    <row r="25" spans="1:12" x14ac:dyDescent="0.55000000000000004">
      <c r="F25" t="s">
        <v>51</v>
      </c>
      <c r="G25">
        <v>1</v>
      </c>
      <c r="H25">
        <f>G25*(1+$G$21)</f>
        <v>1.095804347826087</v>
      </c>
      <c r="I25">
        <f t="shared" ref="I25:L25" si="6">H25*(1+$G$21)</f>
        <v>1.2007871687145559</v>
      </c>
      <c r="J25">
        <f t="shared" si="6"/>
        <v>1.3158278002911876</v>
      </c>
      <c r="K25">
        <f t="shared" si="6"/>
        <v>1.4418898245495195</v>
      </c>
      <c r="L25">
        <f t="shared" si="6"/>
        <v>1.5800291388275574</v>
      </c>
    </row>
    <row r="26" spans="1:12" x14ac:dyDescent="0.55000000000000004">
      <c r="A26" s="4" t="s">
        <v>26</v>
      </c>
      <c r="B26" s="10"/>
      <c r="C26" s="5"/>
      <c r="D26" s="5"/>
      <c r="F26" t="s">
        <v>52</v>
      </c>
      <c r="H26" s="2">
        <f>H24 / H25</f>
        <v>8.1766421330370775</v>
      </c>
      <c r="I26" s="2">
        <f t="shared" ref="I26:L26" si="7">I24 / I25</f>
        <v>8.3571845714696433</v>
      </c>
      <c r="J26" s="2">
        <f t="shared" si="7"/>
        <v>8.5417134350807622</v>
      </c>
      <c r="K26" s="2">
        <f t="shared" si="7"/>
        <v>8.7303167452012786</v>
      </c>
      <c r="L26" s="2">
        <f t="shared" si="7"/>
        <v>8.9230844666964888</v>
      </c>
    </row>
    <row r="27" spans="1:12" x14ac:dyDescent="0.55000000000000004">
      <c r="A27" t="s">
        <v>27</v>
      </c>
      <c r="B27" s="6" t="s">
        <v>3</v>
      </c>
      <c r="F27" t="s">
        <v>44</v>
      </c>
      <c r="G27" s="2">
        <f>L24*(1+B35) / (G21 - B35)</f>
        <v>262.75162017697875</v>
      </c>
      <c r="H27" t="str">
        <f ca="1">_xlfn.FORMULATEXT(G27)</f>
        <v>=L24*(1+B35) / (G21 - B35)</v>
      </c>
    </row>
    <row r="28" spans="1:12" x14ac:dyDescent="0.55000000000000004">
      <c r="A28" t="s">
        <v>28</v>
      </c>
      <c r="B28" s="6">
        <v>1.2</v>
      </c>
      <c r="F28" t="s">
        <v>45</v>
      </c>
      <c r="G28" s="2">
        <f>G27 / L25</f>
        <v>166.29542691342428</v>
      </c>
      <c r="H28" t="str">
        <f t="shared" ref="H28:H31" ca="1" si="8">_xlfn.FORMULATEXT(G28)</f>
        <v>=G27 / L25</v>
      </c>
    </row>
    <row r="29" spans="1:12" x14ac:dyDescent="0.55000000000000004">
      <c r="A29" t="s">
        <v>29</v>
      </c>
      <c r="B29" s="11">
        <v>0.04</v>
      </c>
      <c r="F29" t="s">
        <v>53</v>
      </c>
      <c r="G29" s="2">
        <f>SUM(H26:L26) + G28</f>
        <v>209.02436826490953</v>
      </c>
      <c r="H29" t="str">
        <f t="shared" ca="1" si="8"/>
        <v>=SUM(H26:L26) + G28</v>
      </c>
    </row>
    <row r="30" spans="1:12" x14ac:dyDescent="0.55000000000000004">
      <c r="A30" t="s">
        <v>30</v>
      </c>
      <c r="B30" s="11">
        <v>0.06</v>
      </c>
      <c r="F30" t="s">
        <v>54</v>
      </c>
      <c r="G30" s="2">
        <f>G29 - B13</f>
        <v>159.02436826490953</v>
      </c>
      <c r="H30" t="str">
        <f t="shared" ca="1" si="8"/>
        <v>=G29 - B13</v>
      </c>
    </row>
    <row r="31" spans="1:12" x14ac:dyDescent="0.55000000000000004">
      <c r="A31" t="s">
        <v>31</v>
      </c>
      <c r="B31" s="11">
        <v>0.05</v>
      </c>
      <c r="F31" s="12" t="s">
        <v>46</v>
      </c>
      <c r="G31" s="15">
        <f>G30 / B17</f>
        <v>79.512184132454763</v>
      </c>
      <c r="H31" t="str">
        <f t="shared" ca="1" si="8"/>
        <v>=G30 / B17</v>
      </c>
    </row>
    <row r="33" spans="1:4" x14ac:dyDescent="0.55000000000000004">
      <c r="A33" s="4" t="s">
        <v>32</v>
      </c>
      <c r="B33" s="10"/>
      <c r="C33" s="10"/>
      <c r="D33" s="10"/>
    </row>
    <row r="34" spans="1:4" x14ac:dyDescent="0.55000000000000004">
      <c r="A34" t="s">
        <v>33</v>
      </c>
      <c r="B34" s="6">
        <v>0.12</v>
      </c>
    </row>
    <row r="35" spans="1:4" x14ac:dyDescent="0.55000000000000004">
      <c r="A35" t="s">
        <v>34</v>
      </c>
      <c r="B35" s="6">
        <v>0.04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D633F-F53F-4EF5-95DF-4585078D1EFD}">
  <dimension ref="A1:H24"/>
  <sheetViews>
    <sheetView tabSelected="1" zoomScale="110" zoomScaleNormal="110" workbookViewId="0">
      <selection activeCell="C15" sqref="C15"/>
    </sheetView>
  </sheetViews>
  <sheetFormatPr defaultRowHeight="14.4" x14ac:dyDescent="0.55000000000000004"/>
  <cols>
    <col min="1" max="1" width="29.83984375" customWidth="1"/>
    <col min="3" max="3" width="14.578125" customWidth="1"/>
    <col min="4" max="4" width="16.68359375" customWidth="1"/>
    <col min="5" max="9" width="12" customWidth="1"/>
  </cols>
  <sheetData>
    <row r="1" spans="1:8" x14ac:dyDescent="0.55000000000000004">
      <c r="A1" s="4" t="s">
        <v>56</v>
      </c>
      <c r="B1" s="4"/>
      <c r="D1" s="17" t="s">
        <v>64</v>
      </c>
      <c r="E1" s="17"/>
      <c r="F1" s="17"/>
      <c r="G1" s="17"/>
      <c r="H1" s="17"/>
    </row>
    <row r="3" spans="1:8" x14ac:dyDescent="0.55000000000000004">
      <c r="A3" s="4" t="s">
        <v>57</v>
      </c>
      <c r="B3" s="4"/>
      <c r="D3" t="s">
        <v>65</v>
      </c>
      <c r="E3" t="s">
        <v>66</v>
      </c>
      <c r="F3" t="s">
        <v>67</v>
      </c>
    </row>
    <row r="4" spans="1:8" x14ac:dyDescent="0.55000000000000004">
      <c r="A4" t="s">
        <v>58</v>
      </c>
      <c r="B4">
        <v>100</v>
      </c>
      <c r="D4">
        <v>80</v>
      </c>
      <c r="E4">
        <f>MAX(D4 - $B$5, 0)</f>
        <v>0</v>
      </c>
      <c r="F4">
        <f>E4 - $B$9</f>
        <v>-7</v>
      </c>
    </row>
    <row r="5" spans="1:8" x14ac:dyDescent="0.55000000000000004">
      <c r="A5" t="s">
        <v>59</v>
      </c>
      <c r="B5">
        <v>100</v>
      </c>
      <c r="D5">
        <v>100</v>
      </c>
      <c r="E5">
        <f t="shared" ref="E5:E8" si="0">MAX(D5 - $B$5, 0)</f>
        <v>0</v>
      </c>
      <c r="F5">
        <f t="shared" ref="F5:F8" si="1">E5 - $B$9</f>
        <v>-7</v>
      </c>
    </row>
    <row r="6" spans="1:8" x14ac:dyDescent="0.55000000000000004">
      <c r="A6" t="s">
        <v>60</v>
      </c>
      <c r="B6">
        <f>3/12</f>
        <v>0.25</v>
      </c>
      <c r="D6">
        <v>105</v>
      </c>
      <c r="E6">
        <f t="shared" si="0"/>
        <v>5</v>
      </c>
      <c r="F6">
        <f t="shared" si="1"/>
        <v>-2</v>
      </c>
    </row>
    <row r="7" spans="1:8" x14ac:dyDescent="0.55000000000000004">
      <c r="A7" t="s">
        <v>61</v>
      </c>
      <c r="B7">
        <v>0.05</v>
      </c>
      <c r="D7">
        <v>110</v>
      </c>
      <c r="E7">
        <f t="shared" si="0"/>
        <v>10</v>
      </c>
      <c r="F7">
        <f t="shared" si="1"/>
        <v>3</v>
      </c>
    </row>
    <row r="8" spans="1:8" x14ac:dyDescent="0.55000000000000004">
      <c r="A8" t="s">
        <v>62</v>
      </c>
      <c r="B8">
        <v>0.3</v>
      </c>
      <c r="D8">
        <v>120</v>
      </c>
      <c r="E8">
        <f t="shared" si="0"/>
        <v>20</v>
      </c>
      <c r="F8">
        <f t="shared" si="1"/>
        <v>13</v>
      </c>
    </row>
    <row r="9" spans="1:8" x14ac:dyDescent="0.55000000000000004">
      <c r="A9" t="s">
        <v>63</v>
      </c>
      <c r="B9">
        <v>7</v>
      </c>
    </row>
    <row r="10" spans="1:8" x14ac:dyDescent="0.55000000000000004">
      <c r="D10" s="17" t="s">
        <v>68</v>
      </c>
      <c r="E10" s="17"/>
      <c r="F10" s="17"/>
      <c r="G10" s="17"/>
      <c r="H10" s="17"/>
    </row>
    <row r="11" spans="1:8" x14ac:dyDescent="0.55000000000000004">
      <c r="D11" t="s">
        <v>69</v>
      </c>
      <c r="E11">
        <f>B5+B9</f>
        <v>107</v>
      </c>
    </row>
    <row r="12" spans="1:8" x14ac:dyDescent="0.55000000000000004">
      <c r="A12" s="17" t="s">
        <v>78</v>
      </c>
      <c r="B12" s="17"/>
    </row>
    <row r="13" spans="1:8" x14ac:dyDescent="0.55000000000000004">
      <c r="A13" t="s">
        <v>79</v>
      </c>
      <c r="B13">
        <f>(LN(B4/B5) + (B7+B8^2/2)*B6) / (B8*SQRT(B6))</f>
        <v>0.15833333333333335</v>
      </c>
      <c r="D13" s="17" t="s">
        <v>70</v>
      </c>
      <c r="E13" s="17"/>
      <c r="F13" s="17"/>
      <c r="G13" s="17"/>
      <c r="H13" s="17"/>
    </row>
    <row r="14" spans="1:8" x14ac:dyDescent="0.55000000000000004">
      <c r="A14" t="s">
        <v>80</v>
      </c>
      <c r="B14">
        <f>B13 - B8*SQRT(B6)</f>
        <v>8.3333333333333592E-3</v>
      </c>
    </row>
    <row r="15" spans="1:8" x14ac:dyDescent="0.55000000000000004">
      <c r="A15" t="s">
        <v>81</v>
      </c>
      <c r="B15">
        <f>NORMSDIST(B13)</f>
        <v>0.56290292839204015</v>
      </c>
      <c r="D15" t="s">
        <v>65</v>
      </c>
      <c r="E15" t="s">
        <v>71</v>
      </c>
      <c r="F15" t="s">
        <v>72</v>
      </c>
      <c r="G15" t="s">
        <v>73</v>
      </c>
      <c r="H15" t="s">
        <v>74</v>
      </c>
    </row>
    <row r="16" spans="1:8" x14ac:dyDescent="0.55000000000000004">
      <c r="A16" t="s">
        <v>82</v>
      </c>
      <c r="B16">
        <f>NORMSDIST(B14)</f>
        <v>0.50332448052551682</v>
      </c>
      <c r="D16">
        <v>80</v>
      </c>
      <c r="E16">
        <f>D16</f>
        <v>80</v>
      </c>
      <c r="F16">
        <f xml:space="preserve"> - MAX(D16 - $B$5, 0)</f>
        <v>0</v>
      </c>
      <c r="G16">
        <f>F16+E16</f>
        <v>80</v>
      </c>
      <c r="H16">
        <f>G16 - $B$4 + $B$9</f>
        <v>-13</v>
      </c>
    </row>
    <row r="17" spans="1:8" x14ac:dyDescent="0.55000000000000004">
      <c r="A17" s="12" t="s">
        <v>83</v>
      </c>
      <c r="B17" s="12">
        <f>B4*B15 - B5 * B16 * EXP( - B7*B6)</f>
        <v>6.5830844979924734</v>
      </c>
      <c r="D17">
        <v>100</v>
      </c>
      <c r="E17">
        <f t="shared" ref="E17:E20" si="2">D17</f>
        <v>100</v>
      </c>
      <c r="F17">
        <f t="shared" ref="F17:F20" si="3" xml:space="preserve"> - MAX(D17 - $B$5, 0)</f>
        <v>0</v>
      </c>
      <c r="G17">
        <f t="shared" ref="G17:G20" si="4">F17+E17</f>
        <v>100</v>
      </c>
      <c r="H17">
        <f t="shared" ref="H17:H20" si="5">G17 - $B$4 + $B$9</f>
        <v>7</v>
      </c>
    </row>
    <row r="18" spans="1:8" x14ac:dyDescent="0.55000000000000004">
      <c r="D18">
        <v>105</v>
      </c>
      <c r="E18">
        <f t="shared" si="2"/>
        <v>105</v>
      </c>
      <c r="F18">
        <f t="shared" si="3"/>
        <v>-5</v>
      </c>
      <c r="G18">
        <f t="shared" si="4"/>
        <v>100</v>
      </c>
      <c r="H18">
        <f t="shared" si="5"/>
        <v>7</v>
      </c>
    </row>
    <row r="19" spans="1:8" x14ac:dyDescent="0.55000000000000004">
      <c r="D19">
        <v>110</v>
      </c>
      <c r="E19">
        <f t="shared" si="2"/>
        <v>110</v>
      </c>
      <c r="F19">
        <f t="shared" si="3"/>
        <v>-10</v>
      </c>
      <c r="G19">
        <f t="shared" si="4"/>
        <v>100</v>
      </c>
      <c r="H19">
        <f t="shared" si="5"/>
        <v>7</v>
      </c>
    </row>
    <row r="20" spans="1:8" x14ac:dyDescent="0.55000000000000004">
      <c r="D20">
        <v>120</v>
      </c>
      <c r="E20">
        <f t="shared" si="2"/>
        <v>120</v>
      </c>
      <c r="F20">
        <f t="shared" si="3"/>
        <v>-20</v>
      </c>
      <c r="G20">
        <f t="shared" si="4"/>
        <v>100</v>
      </c>
      <c r="H20">
        <f t="shared" si="5"/>
        <v>7</v>
      </c>
    </row>
    <row r="22" spans="1:8" x14ac:dyDescent="0.55000000000000004">
      <c r="D22" s="17" t="s">
        <v>75</v>
      </c>
      <c r="E22" s="17"/>
      <c r="F22" s="17"/>
      <c r="G22" s="17"/>
      <c r="H22" s="17"/>
    </row>
    <row r="23" spans="1:8" x14ac:dyDescent="0.55000000000000004">
      <c r="D23" t="s">
        <v>76</v>
      </c>
      <c r="E23">
        <f>B4 - B9</f>
        <v>93</v>
      </c>
      <c r="F23" t="str">
        <f ca="1">_xlfn.FORMULATEXT(E23)</f>
        <v>=B4 - B9</v>
      </c>
    </row>
    <row r="24" spans="1:8" x14ac:dyDescent="0.55000000000000004">
      <c r="D24" t="s">
        <v>77</v>
      </c>
      <c r="E24">
        <f>B5 - B4 + B9</f>
        <v>7</v>
      </c>
      <c r="F24" t="str">
        <f ca="1">_xlfn.FORMULATEXT(E24)</f>
        <v>=B5 - B4 + B9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Valuation</vt:lpstr>
      <vt:lpstr>Options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Mihai Ion</dc:creator>
  <cp:lastModifiedBy>Ion, Mihai B.</cp:lastModifiedBy>
  <dcterms:created xsi:type="dcterms:W3CDTF">2015-06-05T18:17:20Z</dcterms:created>
  <dcterms:modified xsi:type="dcterms:W3CDTF">2026-05-08T15:37:21Z</dcterms:modified>
</cp:coreProperties>
</file>